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5" i="1" l="1"/>
  <c r="E13" i="1"/>
  <c r="E10" i="1"/>
  <c r="E18" i="1"/>
  <c r="E21" i="1"/>
  <c r="E20" i="1"/>
  <c r="E16" i="1"/>
  <c r="E53" i="1"/>
  <c r="E43" i="1"/>
  <c r="E40" i="1"/>
  <c r="E39" i="1"/>
  <c r="E28" i="1"/>
  <c r="E30" i="1"/>
  <c r="E31" i="1"/>
  <c r="E32" i="1"/>
  <c r="E37" i="1"/>
  <c r="E36" i="1"/>
  <c r="E41" i="1"/>
  <c r="E12" i="1"/>
  <c r="E19" i="1"/>
  <c r="E35" i="1"/>
  <c r="E29" i="1"/>
  <c r="E34" i="1"/>
  <c r="E33" i="1"/>
  <c r="E38" i="1"/>
  <c r="E45" i="1"/>
  <c r="E49" i="1"/>
  <c r="E22" i="1"/>
  <c r="E17" i="1"/>
  <c r="E14" i="1"/>
  <c r="E42" i="1"/>
  <c r="E46" i="1"/>
  <c r="E50" i="1"/>
  <c r="E48" i="1"/>
  <c r="D48" i="1"/>
  <c r="E47" i="1"/>
  <c r="E44" i="1"/>
  <c r="E15" i="1"/>
  <c r="E51" i="1"/>
  <c r="E23" i="1"/>
  <c r="E11" i="1"/>
  <c r="E24" i="1"/>
  <c r="D28" i="1" l="1"/>
  <c r="D45" i="1"/>
  <c r="D44" i="1"/>
  <c r="D24" i="1"/>
  <c r="D11" i="1"/>
  <c r="D10" i="1"/>
  <c r="D19" i="1"/>
  <c r="D20" i="1"/>
  <c r="D16" i="1"/>
  <c r="D15" i="1"/>
  <c r="D47" i="1"/>
  <c r="D46" i="1"/>
  <c r="D50" i="1"/>
  <c r="D25" i="1"/>
  <c r="D23" i="1"/>
  <c r="D43" i="1"/>
  <c r="D40" i="1"/>
  <c r="D21" i="1"/>
  <c r="D30" i="1"/>
  <c r="D32" i="1"/>
  <c r="D37" i="1"/>
  <c r="D33" i="1"/>
  <c r="D31" i="1"/>
  <c r="D42" i="1"/>
  <c r="D12" i="1"/>
  <c r="D35" i="1"/>
  <c r="D29" i="1"/>
  <c r="D34" i="1"/>
  <c r="D39" i="1"/>
  <c r="D38" i="1"/>
  <c r="D49" i="1"/>
  <c r="D22" i="1"/>
  <c r="D17" i="1"/>
  <c r="D14" i="1"/>
  <c r="D36" i="1"/>
  <c r="D41" i="1"/>
  <c r="D13" i="1"/>
  <c r="E54" i="1" l="1"/>
  <c r="E26" i="1"/>
  <c r="E55" i="1" l="1"/>
</calcChain>
</file>

<file path=xl/sharedStrings.xml><?xml version="1.0" encoding="utf-8"?>
<sst xmlns="http://schemas.openxmlformats.org/spreadsheetml/2006/main" count="101" uniqueCount="80">
  <si>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</si>
  <si>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</si>
  <si>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</si>
  <si>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</si>
  <si>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</si>
  <si>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</si>
  <si>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</si>
  <si>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</si>
  <si>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</si>
  <si>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</si>
  <si>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</si>
  <si>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</si>
  <si>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</si>
  <si>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</si>
  <si>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</si>
  <si>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</si>
  <si>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</si>
  <si>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1 врезка</t>
  </si>
  <si>
    <t>100м2 покрытия</t>
  </si>
  <si>
    <t>Очистка канализационной сети внутренней</t>
  </si>
  <si>
    <t>100 м трубопровода</t>
  </si>
  <si>
    <t>м3</t>
  </si>
  <si>
    <t>100м</t>
  </si>
  <si>
    <t>Осмотр линий электрических сетей,арматуры и электрооборудования на л/клетках</t>
  </si>
  <si>
    <t>100 лестничных клеток</t>
  </si>
  <si>
    <t>Гидравлическое испытание трубопроводов систем отопления диам.до 50мм</t>
  </si>
  <si>
    <t>100м трубопровода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</si>
  <si>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</si>
  <si>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</si>
  <si>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</si>
  <si>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</si>
  <si>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Очистка канализационной сети дворовой</t>
  </si>
  <si>
    <t>Смена дверных приборов замки навесные</t>
  </si>
  <si>
    <t>Смена провода</t>
  </si>
  <si>
    <t>100шт приб.</t>
  </si>
  <si>
    <t>Установка манометров с трехходовым краном</t>
  </si>
  <si>
    <t>1 компл.</t>
  </si>
  <si>
    <t>Проверка на прогрев отопительных приборов с регулировкой</t>
  </si>
  <si>
    <t>100 приб.</t>
  </si>
  <si>
    <t>Смена кранов  ГВС,ХВС,ЦО на шаровые краны диам. 15,25,32мм</t>
  </si>
  <si>
    <t>100м3 воды</t>
  </si>
  <si>
    <t>Врезка в действующие внутренние сети трубопроводов ГВС,ЦО,ХВС диам.25мм</t>
  </si>
  <si>
    <t>Водоотлив из подвала электрическими насосами</t>
  </si>
  <si>
    <t>Врезка в действующие внутренние сети трубопроводов ГВС,ЦО,ХВС диам.20мм</t>
  </si>
  <si>
    <t>Врезка в действующие внутренние сети трубопроводов ХВС диам.32мм</t>
  </si>
  <si>
    <t>Смена трубопроводов из полиэтиленовых канализационных труб диам.до 100мм</t>
  </si>
  <si>
    <t>100м трубопровода с фасонными частями</t>
  </si>
  <si>
    <t>Смена дверных приборов пружины</t>
  </si>
  <si>
    <t>Механизированная уборка снега на придомовой территории</t>
  </si>
  <si>
    <t>мин</t>
  </si>
  <si>
    <t>Врезка в действующие внутренние сети трубопроводов ЦО  диам.15мм</t>
  </si>
  <si>
    <t>Установка хомутов диаметром трубопроводов до 100мм</t>
  </si>
  <si>
    <t>100 заглушек</t>
  </si>
  <si>
    <t>Смена светильников со светодиодными  лампами</t>
  </si>
  <si>
    <t>Смена внутренних трубопроводов из стальных труб диам.до 100мм</t>
  </si>
  <si>
    <t xml:space="preserve">Смена существующих рулонных кровель на покрытия из наплавляемых рулонных материалов в 1 слой </t>
  </si>
  <si>
    <t>Смена стекол толщиной 4-6 мм</t>
  </si>
  <si>
    <t>100м2 остекления</t>
  </si>
  <si>
    <t>Заделка дверей фанерой</t>
  </si>
  <si>
    <t>10м2</t>
  </si>
  <si>
    <t>имущества МКД, выполненных за 2017  года на жилом доме № 14</t>
  </si>
  <si>
    <t xml:space="preserve">                                       по Пролетарскому проспекту</t>
  </si>
  <si>
    <t>Смена внутренних трубопроводов из стальных труб диам.до 32мм</t>
  </si>
  <si>
    <t>Смена задвижек ХВС диам. 100мм на шаровые краны</t>
  </si>
  <si>
    <t>Смена внутренних трубопроводов ХВС из стальных труб диам.до 20мм</t>
  </si>
  <si>
    <t>Смена внутренних трубопроводов из стальных труб диам.до 80мм</t>
  </si>
  <si>
    <t>Вывоз крупногабаритного мусора из подвала</t>
  </si>
  <si>
    <t>Смена колпаков на дымовых трубах на один канал</t>
  </si>
  <si>
    <t>100 колпаков</t>
  </si>
  <si>
    <t>Смена внутренних трубопроводов ХВС из стальных труб диам.до 15мм</t>
  </si>
  <si>
    <t>Смена внутренних трубопроводов из стальных труб диам.до 50мм</t>
  </si>
  <si>
    <t>Врезка в действующие внутренние сети трубопроводов ХВС диам.50мм</t>
  </si>
  <si>
    <t>Смена задвижек ГВС диам. 50мм на шаровые краны</t>
  </si>
  <si>
    <t>Ремонт и восстановление герметизации стыков шириной панельного шва 30мм</t>
  </si>
  <si>
    <t>100м восстановленной герметизации стыков</t>
  </si>
  <si>
    <t>Прокладка гофры</t>
  </si>
  <si>
    <t>Смена выключателей</t>
  </si>
  <si>
    <t>Ремонт ограждений средний</t>
  </si>
  <si>
    <t>1м2</t>
  </si>
  <si>
    <t>Сменга выключателей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</si>
</sst>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61" sqref="A1:E6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60</v>
      </c>
      <c r="C4" s="3"/>
      <c r="D4" s="3"/>
      <c r="E4" s="3"/>
      <c r="F4" s="1"/>
    </row>
    <row r="5" spans="1:6" ht="15.75" x14ac:dyDescent="0.25">
      <c r="A5" s="4"/>
      <c r="B5" s="3" t="s">
        <v>61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12</v>
      </c>
      <c r="D10" s="7">
        <f>0.46+0.26+0.23+0.09+0.41+0.32+0.28+0.32</f>
        <v>2.3699999999999997</v>
      </c>
      <c r="E10" s="7">
        <f>4960.89+4340.76+4960.89+6356.13+1395.24+3565.64+3984.31+7049.18</f>
        <v>36613.040000000008</v>
      </c>
      <c r="F10" s="4"/>
    </row>
    <row r="11" spans="1:6" s="1" customFormat="1" ht="15.75" x14ac:dyDescent="0.25">
      <c r="A11" s="6">
        <v>2</v>
      </c>
      <c r="B11" s="8" t="s">
        <v>76</v>
      </c>
      <c r="C11" s="8" t="s">
        <v>12</v>
      </c>
      <c r="D11" s="7">
        <f>0.09+0.08+0.04</f>
        <v>0.21</v>
      </c>
      <c r="E11" s="7">
        <f>584.68+1169.34</f>
        <v>1754.02</v>
      </c>
      <c r="F11" s="4"/>
    </row>
    <row r="12" spans="1:6" s="1" customFormat="1" ht="31.5" x14ac:dyDescent="0.25">
      <c r="A12" s="7">
        <v>3</v>
      </c>
      <c r="B12" s="8" t="s">
        <v>53</v>
      </c>
      <c r="C12" s="8" t="s">
        <v>12</v>
      </c>
      <c r="D12" s="7">
        <f>0.02+0.01</f>
        <v>0.03</v>
      </c>
      <c r="E12" s="7">
        <f>553.74+1237.38</f>
        <v>1791.1200000000001</v>
      </c>
      <c r="F12" s="4"/>
    </row>
    <row r="13" spans="1:6" s="1" customFormat="1" ht="47.25" x14ac:dyDescent="0.25">
      <c r="A13" s="6">
        <v>4</v>
      </c>
      <c r="B13" s="8" t="s">
        <v>23</v>
      </c>
      <c r="C13" s="8" t="s">
        <v>24</v>
      </c>
      <c r="D13" s="7">
        <f>0.63</f>
        <v>0.63</v>
      </c>
      <c r="E13" s="7">
        <f>2750.65+2750.65+2750.65+2750.65+2750.65+2750.65+2672.76+2672.76</f>
        <v>21849.420000000006</v>
      </c>
      <c r="F13" s="4"/>
    </row>
    <row r="14" spans="1:6" s="1" customFormat="1" ht="47.25" x14ac:dyDescent="0.25">
      <c r="A14" s="6">
        <v>5</v>
      </c>
      <c r="B14" s="8" t="s">
        <v>25</v>
      </c>
      <c r="C14" s="8" t="s">
        <v>26</v>
      </c>
      <c r="D14" s="7">
        <f>57.4</f>
        <v>57.4</v>
      </c>
      <c r="E14" s="7">
        <f>248930.4</f>
        <v>248930.4</v>
      </c>
      <c r="F14" s="4"/>
    </row>
    <row r="15" spans="1:6" s="1" customFormat="1" ht="31.5" x14ac:dyDescent="0.25">
      <c r="A15" s="7">
        <v>6</v>
      </c>
      <c r="B15" s="8" t="s">
        <v>37</v>
      </c>
      <c r="C15" s="8" t="s">
        <v>38</v>
      </c>
      <c r="D15" s="7">
        <f>1.5+0.5+0.07</f>
        <v>2.0699999999999998</v>
      </c>
      <c r="E15" s="7">
        <f>452.77+3234+9702.01</f>
        <v>13388.78</v>
      </c>
      <c r="F15" s="4"/>
    </row>
    <row r="16" spans="1:6" s="1" customFormat="1" ht="31.5" x14ac:dyDescent="0.25">
      <c r="A16" s="6">
        <v>7</v>
      </c>
      <c r="B16" s="8" t="s">
        <v>51</v>
      </c>
      <c r="C16" s="8" t="s">
        <v>52</v>
      </c>
      <c r="D16" s="7">
        <f>0.01+0.02+0.06</f>
        <v>0.09</v>
      </c>
      <c r="E16" s="7">
        <f>3998.08+1289.83+644.93</f>
        <v>5932.84</v>
      </c>
      <c r="F16" s="4"/>
    </row>
    <row r="17" spans="1:6" s="1" customFormat="1" ht="78.75" x14ac:dyDescent="0.25">
      <c r="A17" s="7">
        <v>8</v>
      </c>
      <c r="B17" s="8" t="s">
        <v>27</v>
      </c>
      <c r="C17" s="8" t="s">
        <v>28</v>
      </c>
      <c r="D17" s="7">
        <f>27.179</f>
        <v>27.178999999999998</v>
      </c>
      <c r="E17" s="7">
        <f>50414.05+50414.05+50414.05+50414.05+50414.05+50414.05</f>
        <v>302484.3</v>
      </c>
      <c r="F17" s="4"/>
    </row>
    <row r="18" spans="1:6" s="1" customFormat="1" ht="31.5" x14ac:dyDescent="0.25">
      <c r="A18" s="6">
        <v>9</v>
      </c>
      <c r="B18" s="8" t="s">
        <v>29</v>
      </c>
      <c r="C18" s="8" t="s">
        <v>30</v>
      </c>
      <c r="D18" s="7">
        <v>2.52</v>
      </c>
      <c r="E18" s="7">
        <f>70114.84+70114.84+70114.84+70114.84+70114.84+70114.84+68129.39+68129.39</f>
        <v>556947.81999999995</v>
      </c>
      <c r="F18" s="4"/>
    </row>
    <row r="19" spans="1:6" s="1" customFormat="1" ht="47.25" x14ac:dyDescent="0.25">
      <c r="A19" s="6">
        <v>10</v>
      </c>
      <c r="B19" s="8" t="s">
        <v>31</v>
      </c>
      <c r="C19" s="8" t="s">
        <v>26</v>
      </c>
      <c r="D19" s="7">
        <f>0.7+0.2+0.2+0.8+0.5+0.3+0.54</f>
        <v>3.2399999999999998</v>
      </c>
      <c r="E19" s="7">
        <f>26783.74+14879.85+24799.76+39679.61+9919.91+9919.91+33701.66</f>
        <v>159684.44</v>
      </c>
      <c r="F19" s="4"/>
    </row>
    <row r="20" spans="1:6" s="1" customFormat="1" ht="47.25" x14ac:dyDescent="0.25">
      <c r="A20" s="7">
        <v>11</v>
      </c>
      <c r="B20" s="8" t="s">
        <v>19</v>
      </c>
      <c r="C20" s="8" t="s">
        <v>20</v>
      </c>
      <c r="D20" s="7">
        <f>1.5+2+0.5+1+1+0.6+1.5+1.47</f>
        <v>9.57</v>
      </c>
      <c r="E20" s="7">
        <f>22667.72+23130.34+9252.13+15410.47+15410.47+7705.25+29958.34+22468.76</f>
        <v>146003.47999999998</v>
      </c>
      <c r="F20" s="4"/>
    </row>
    <row r="21" spans="1:6" s="1" customFormat="1" ht="31.5" x14ac:dyDescent="0.25">
      <c r="A21" s="6">
        <v>12</v>
      </c>
      <c r="B21" s="8" t="s">
        <v>42</v>
      </c>
      <c r="C21" s="8" t="s">
        <v>40</v>
      </c>
      <c r="D21" s="7">
        <f>0.09+0.7+0.03</f>
        <v>0.82</v>
      </c>
      <c r="E21" s="7">
        <f>95.94+2177+279.89</f>
        <v>2552.83</v>
      </c>
      <c r="F21" s="4"/>
    </row>
    <row r="22" spans="1:6" s="1" customFormat="1" ht="31.5" x14ac:dyDescent="0.25">
      <c r="A22" s="7">
        <v>13</v>
      </c>
      <c r="B22" s="8" t="s">
        <v>47</v>
      </c>
      <c r="C22" s="8" t="s">
        <v>34</v>
      </c>
      <c r="D22" s="7">
        <f>0.02</f>
        <v>0.02</v>
      </c>
      <c r="E22" s="7">
        <f>567.37</f>
        <v>567.37</v>
      </c>
      <c r="F22" s="4"/>
    </row>
    <row r="23" spans="1:6" s="1" customFormat="1" ht="47.25" x14ac:dyDescent="0.25">
      <c r="A23" s="6">
        <v>14</v>
      </c>
      <c r="B23" s="8" t="s">
        <v>56</v>
      </c>
      <c r="C23" s="8" t="s">
        <v>57</v>
      </c>
      <c r="D23" s="7">
        <f>0.02</f>
        <v>0.02</v>
      </c>
      <c r="E23" s="7">
        <f>1458.31</f>
        <v>1458.31</v>
      </c>
      <c r="F23" s="4"/>
    </row>
    <row r="24" spans="1:6" s="1" customFormat="1" ht="15.75" x14ac:dyDescent="0.25">
      <c r="A24" s="6">
        <v>15</v>
      </c>
      <c r="B24" s="8" t="s">
        <v>58</v>
      </c>
      <c r="C24" s="8" t="s">
        <v>59</v>
      </c>
      <c r="D24" s="7">
        <f>0.938</f>
        <v>0.93799999999999994</v>
      </c>
      <c r="E24" s="7">
        <f>3385.47</f>
        <v>3385.47</v>
      </c>
      <c r="F24" s="4"/>
    </row>
    <row r="25" spans="1:6" s="1" customFormat="1" ht="31.5" x14ac:dyDescent="0.25">
      <c r="A25" s="7">
        <v>16</v>
      </c>
      <c r="B25" s="8" t="s">
        <v>32</v>
      </c>
      <c r="C25" s="8" t="s">
        <v>34</v>
      </c>
      <c r="D25" s="7">
        <f>0.07+0.04+0.02+0.02</f>
        <v>0.15</v>
      </c>
      <c r="E25" s="7">
        <f>779.03+779.03+1519.88+2659.82</f>
        <v>5737.76</v>
      </c>
      <c r="F25" s="4"/>
    </row>
    <row r="26" spans="1:6" ht="15.75" x14ac:dyDescent="0.25">
      <c r="A26" s="7"/>
      <c r="B26" s="8"/>
      <c r="C26" s="8"/>
      <c r="D26" s="7"/>
      <c r="E26" s="13">
        <f>SUM(E10:E25)</f>
        <v>1509081.4000000001</v>
      </c>
      <c r="F26" s="4"/>
    </row>
    <row r="27" spans="1:6" ht="15.75" x14ac:dyDescent="0.25">
      <c r="A27" s="7"/>
      <c r="B27" s="12" t="s">
        <v>11</v>
      </c>
      <c r="C27" s="8"/>
      <c r="D27" s="7"/>
      <c r="E27" s="7"/>
      <c r="F27" s="4"/>
    </row>
    <row r="28" spans="1:6" ht="31.5" x14ac:dyDescent="0.25">
      <c r="A28" s="7">
        <v>1</v>
      </c>
      <c r="B28" s="8" t="s">
        <v>39</v>
      </c>
      <c r="C28" s="8" t="s">
        <v>12</v>
      </c>
      <c r="D28" s="7">
        <f>0.04+0.1+0.02+0.04+0.04+0.01</f>
        <v>0.25</v>
      </c>
      <c r="E28" s="7">
        <f>574.38+2023.81+292.76+471.79+2023.81+146.38+283.79+471.79+1971.01+283.79+943.58+4881.24+146.38+567.57+2358.96+939.24+146.38+471.79</f>
        <v>18998.45</v>
      </c>
      <c r="F28" s="4"/>
    </row>
    <row r="29" spans="1:6" s="1" customFormat="1" ht="31.5" x14ac:dyDescent="0.25">
      <c r="A29" s="7">
        <v>2</v>
      </c>
      <c r="B29" s="8" t="s">
        <v>35</v>
      </c>
      <c r="C29" s="8" t="s">
        <v>36</v>
      </c>
      <c r="D29" s="7">
        <f>2</f>
        <v>2</v>
      </c>
      <c r="E29" s="7">
        <f>1517.5</f>
        <v>1517.5</v>
      </c>
      <c r="F29" s="4"/>
    </row>
    <row r="30" spans="1:6" s="1" customFormat="1" ht="31.5" x14ac:dyDescent="0.25">
      <c r="A30" s="7">
        <v>3</v>
      </c>
      <c r="B30" s="8" t="s">
        <v>50</v>
      </c>
      <c r="C30" s="8" t="s">
        <v>17</v>
      </c>
      <c r="D30" s="7">
        <f>5+3</f>
        <v>8</v>
      </c>
      <c r="E30" s="7">
        <f>9675.98+15689.64</f>
        <v>25365.62</v>
      </c>
      <c r="F30" s="4"/>
    </row>
    <row r="31" spans="1:6" s="1" customFormat="1" ht="31.5" x14ac:dyDescent="0.25">
      <c r="A31" s="7">
        <v>4</v>
      </c>
      <c r="B31" s="8" t="s">
        <v>43</v>
      </c>
      <c r="C31" s="8" t="s">
        <v>17</v>
      </c>
      <c r="D31" s="7">
        <f>3+2+1</f>
        <v>6</v>
      </c>
      <c r="E31" s="7">
        <f>3264.71+6529.46+9531.95</f>
        <v>19326.120000000003</v>
      </c>
      <c r="F31" s="4"/>
    </row>
    <row r="32" spans="1:6" s="1" customFormat="1" ht="31.5" x14ac:dyDescent="0.25">
      <c r="A32" s="7">
        <v>5</v>
      </c>
      <c r="B32" s="8" t="s">
        <v>41</v>
      </c>
      <c r="C32" s="8" t="s">
        <v>17</v>
      </c>
      <c r="D32" s="7">
        <f>3+2+2</f>
        <v>7</v>
      </c>
      <c r="E32" s="7">
        <f>6653.33+6653.33+9717.75</f>
        <v>23024.41</v>
      </c>
      <c r="F32" s="4"/>
    </row>
    <row r="33" spans="1:6" s="1" customFormat="1" ht="31.5" x14ac:dyDescent="0.25">
      <c r="A33" s="7">
        <v>6</v>
      </c>
      <c r="B33" s="8" t="s">
        <v>44</v>
      </c>
      <c r="C33" s="8" t="s">
        <v>17</v>
      </c>
      <c r="D33" s="7">
        <f>4+4</f>
        <v>8</v>
      </c>
      <c r="E33" s="7">
        <f>13614.76+13614.76</f>
        <v>27229.52</v>
      </c>
      <c r="F33" s="4"/>
    </row>
    <row r="34" spans="1:6" s="1" customFormat="1" ht="31.5" x14ac:dyDescent="0.25">
      <c r="A34" s="7">
        <v>7</v>
      </c>
      <c r="B34" s="8" t="s">
        <v>71</v>
      </c>
      <c r="C34" s="8" t="s">
        <v>17</v>
      </c>
      <c r="D34" s="7">
        <f>2</f>
        <v>2</v>
      </c>
      <c r="E34" s="7">
        <f>11156.68</f>
        <v>11156.68</v>
      </c>
      <c r="F34" s="4"/>
    </row>
    <row r="35" spans="1:6" s="1" customFormat="1" ht="47.25" x14ac:dyDescent="0.25">
      <c r="A35" s="7">
        <v>8</v>
      </c>
      <c r="B35" s="8" t="s">
        <v>69</v>
      </c>
      <c r="C35" s="8" t="s">
        <v>26</v>
      </c>
      <c r="D35" s="7">
        <f>0.01+0.01</f>
        <v>0.02</v>
      </c>
      <c r="E35" s="7">
        <f>645.81+645.81</f>
        <v>1291.6199999999999</v>
      </c>
      <c r="F35" s="4"/>
    </row>
    <row r="36" spans="1:6" s="1" customFormat="1" ht="47.25" x14ac:dyDescent="0.25">
      <c r="A36" s="7">
        <v>9</v>
      </c>
      <c r="B36" s="8" t="s">
        <v>64</v>
      </c>
      <c r="C36" s="8" t="s">
        <v>26</v>
      </c>
      <c r="D36" s="7">
        <f>0.01</f>
        <v>0.01</v>
      </c>
      <c r="E36" s="7">
        <f>715.41</f>
        <v>715.41</v>
      </c>
      <c r="F36" s="4"/>
    </row>
    <row r="37" spans="1:6" s="1" customFormat="1" ht="47.25" x14ac:dyDescent="0.25">
      <c r="A37" s="7">
        <v>10</v>
      </c>
      <c r="B37" s="8" t="s">
        <v>62</v>
      </c>
      <c r="C37" s="8" t="s">
        <v>26</v>
      </c>
      <c r="D37" s="7">
        <f>0.05+0.02+0.01+0.015+0.085</f>
        <v>0.18</v>
      </c>
      <c r="E37" s="7">
        <f>1570.51+8899.57+1047+5147.13+2058.85</f>
        <v>18723.059999999998</v>
      </c>
      <c r="F37" s="4"/>
    </row>
    <row r="38" spans="1:6" s="1" customFormat="1" ht="47.25" x14ac:dyDescent="0.25">
      <c r="A38" s="7">
        <v>11</v>
      </c>
      <c r="B38" s="8" t="s">
        <v>70</v>
      </c>
      <c r="C38" s="8" t="s">
        <v>26</v>
      </c>
      <c r="D38" s="7">
        <f>0.03</f>
        <v>0.03</v>
      </c>
      <c r="E38" s="7">
        <f>4135.14</f>
        <v>4135.1400000000003</v>
      </c>
      <c r="F38" s="4"/>
    </row>
    <row r="39" spans="1:6" s="1" customFormat="1" ht="47.25" x14ac:dyDescent="0.25">
      <c r="A39" s="7">
        <v>12</v>
      </c>
      <c r="B39" s="8" t="s">
        <v>65</v>
      </c>
      <c r="C39" s="8" t="s">
        <v>26</v>
      </c>
      <c r="D39" s="7">
        <f>0.015+0.13</f>
        <v>0.14500000000000002</v>
      </c>
      <c r="E39" s="7">
        <f>25458.4+2897.12</f>
        <v>28355.52</v>
      </c>
      <c r="F39" s="4"/>
    </row>
    <row r="40" spans="1:6" s="1" customFormat="1" ht="47.25" x14ac:dyDescent="0.25">
      <c r="A40" s="7">
        <v>13</v>
      </c>
      <c r="B40" s="8" t="s">
        <v>54</v>
      </c>
      <c r="C40" s="8" t="s">
        <v>26</v>
      </c>
      <c r="D40" s="7">
        <f>0.49+0.16+0.055</f>
        <v>0.70500000000000007</v>
      </c>
      <c r="E40" s="7">
        <f>13101.22+38112.66+115053.34</f>
        <v>166267.22</v>
      </c>
      <c r="F40" s="4"/>
    </row>
    <row r="41" spans="1:6" s="1" customFormat="1" ht="31.5" x14ac:dyDescent="0.25">
      <c r="A41" s="7">
        <v>14</v>
      </c>
      <c r="B41" s="8" t="s">
        <v>63</v>
      </c>
      <c r="C41" s="8" t="s">
        <v>12</v>
      </c>
      <c r="D41" s="7">
        <f>0.01</f>
        <v>0.01</v>
      </c>
      <c r="E41" s="7">
        <f>21090.44</f>
        <v>21090.44</v>
      </c>
      <c r="F41" s="4"/>
    </row>
    <row r="42" spans="1:6" s="1" customFormat="1" ht="31.5" x14ac:dyDescent="0.25">
      <c r="A42" s="7">
        <v>15</v>
      </c>
      <c r="B42" s="8" t="s">
        <v>72</v>
      </c>
      <c r="C42" s="8" t="s">
        <v>12</v>
      </c>
      <c r="D42" s="7">
        <f>0.01</f>
        <v>0.01</v>
      </c>
      <c r="E42" s="7">
        <f>3284.52</f>
        <v>3284.52</v>
      </c>
      <c r="F42" s="4"/>
    </row>
    <row r="43" spans="1:6" s="1" customFormat="1" ht="94.5" x14ac:dyDescent="0.25">
      <c r="A43" s="7">
        <v>16</v>
      </c>
      <c r="B43" s="8" t="s">
        <v>45</v>
      </c>
      <c r="C43" s="8" t="s">
        <v>46</v>
      </c>
      <c r="D43" s="7">
        <f>0.025+0.01+0.03</f>
        <v>6.5000000000000002E-2</v>
      </c>
      <c r="E43" s="7">
        <f>1892.62+630.88+1552.78</f>
        <v>4076.2799999999997</v>
      </c>
      <c r="F43" s="4"/>
    </row>
    <row r="44" spans="1:6" s="1" customFormat="1" ht="94.5" x14ac:dyDescent="0.25">
      <c r="A44" s="7">
        <v>17</v>
      </c>
      <c r="B44" s="8" t="s">
        <v>73</v>
      </c>
      <c r="C44" s="8" t="s">
        <v>74</v>
      </c>
      <c r="D44" s="7">
        <f>1.981+1.63+3.408</f>
        <v>7.0190000000000001</v>
      </c>
      <c r="E44" s="7">
        <f>175022.87+83711.04+101737.18</f>
        <v>360471.08999999997</v>
      </c>
      <c r="F44" s="4"/>
    </row>
    <row r="45" spans="1:6" s="1" customFormat="1" ht="31.5" x14ac:dyDescent="0.25">
      <c r="A45" s="7">
        <v>18</v>
      </c>
      <c r="B45" s="8" t="s">
        <v>53</v>
      </c>
      <c r="C45" s="8" t="s">
        <v>12</v>
      </c>
      <c r="D45" s="7">
        <f>0.2+0.1+0.25+0.09+0.07</f>
        <v>0.71</v>
      </c>
      <c r="E45" s="7">
        <f>4421.17+5684.34+15789.82+6315.92+12631.86</f>
        <v>44843.11</v>
      </c>
      <c r="F45" s="4"/>
    </row>
    <row r="46" spans="1:6" s="1" customFormat="1" ht="15.75" x14ac:dyDescent="0.25">
      <c r="A46" s="7">
        <v>19</v>
      </c>
      <c r="B46" s="8" t="s">
        <v>33</v>
      </c>
      <c r="C46" s="8" t="s">
        <v>22</v>
      </c>
      <c r="D46" s="7">
        <f>0.04+0.17+1+0.3</f>
        <v>1.51</v>
      </c>
      <c r="E46" s="7">
        <f>2654.78+648.99+8849.29+2163.3+1504.36+221+353.98+52</f>
        <v>16447.7</v>
      </c>
      <c r="F46" s="4"/>
    </row>
    <row r="47" spans="1:6" s="1" customFormat="1" ht="15.75" x14ac:dyDescent="0.25">
      <c r="A47" s="7">
        <v>20</v>
      </c>
      <c r="B47" s="8" t="s">
        <v>75</v>
      </c>
      <c r="C47" s="8" t="s">
        <v>22</v>
      </c>
      <c r="D47" s="7">
        <f>1+0.3</f>
        <v>1.3</v>
      </c>
      <c r="E47" s="7">
        <f>2498.76+390.37+8329.17+1301.25</f>
        <v>12519.55</v>
      </c>
      <c r="F47" s="4"/>
    </row>
    <row r="48" spans="1:6" s="1" customFormat="1" ht="15.75" x14ac:dyDescent="0.25">
      <c r="A48" s="7">
        <v>21</v>
      </c>
      <c r="B48" s="8" t="s">
        <v>79</v>
      </c>
      <c r="C48" s="8" t="s">
        <v>12</v>
      </c>
      <c r="D48" s="7">
        <f>0.09</f>
        <v>0.09</v>
      </c>
      <c r="E48" s="7">
        <f>1315.52</f>
        <v>1315.52</v>
      </c>
      <c r="F48" s="4"/>
    </row>
    <row r="49" spans="1:7" s="1" customFormat="1" ht="31.5" x14ac:dyDescent="0.25">
      <c r="A49" s="7">
        <v>22</v>
      </c>
      <c r="B49" s="8" t="s">
        <v>67</v>
      </c>
      <c r="C49" s="8" t="s">
        <v>68</v>
      </c>
      <c r="D49" s="7">
        <f>0.02</f>
        <v>0.02</v>
      </c>
      <c r="E49" s="7">
        <f>2883.74</f>
        <v>2883.74</v>
      </c>
      <c r="F49" s="4"/>
    </row>
    <row r="50" spans="1:7" s="1" customFormat="1" ht="47.25" x14ac:dyDescent="0.25">
      <c r="A50" s="7">
        <v>23</v>
      </c>
      <c r="B50" s="8" t="s">
        <v>55</v>
      </c>
      <c r="C50" s="8" t="s">
        <v>18</v>
      </c>
      <c r="D50" s="7">
        <f>0.05+0.03</f>
        <v>0.08</v>
      </c>
      <c r="E50" s="7">
        <f>1475.65+2441.8</f>
        <v>3917.4500000000003</v>
      </c>
      <c r="F50" s="4"/>
    </row>
    <row r="51" spans="1:7" s="1" customFormat="1" ht="15.75" x14ac:dyDescent="0.25">
      <c r="A51" s="7">
        <v>24</v>
      </c>
      <c r="B51" s="8" t="s">
        <v>77</v>
      </c>
      <c r="C51" s="8" t="s">
        <v>78</v>
      </c>
      <c r="D51" s="7">
        <v>5</v>
      </c>
      <c r="E51" s="7">
        <f>24105.29</f>
        <v>24105.29</v>
      </c>
      <c r="F51" s="4"/>
    </row>
    <row r="52" spans="1:7" s="1" customFormat="1" ht="31.5" x14ac:dyDescent="0.25">
      <c r="A52" s="7">
        <v>25</v>
      </c>
      <c r="B52" s="8" t="s">
        <v>48</v>
      </c>
      <c r="C52" s="8" t="s">
        <v>49</v>
      </c>
      <c r="D52" s="7">
        <v>135</v>
      </c>
      <c r="E52" s="7">
        <v>1968.3</v>
      </c>
      <c r="F52" s="4"/>
    </row>
    <row r="53" spans="1:7" s="1" customFormat="1" ht="15.75" x14ac:dyDescent="0.25">
      <c r="A53" s="7">
        <v>26</v>
      </c>
      <c r="B53" s="8" t="s">
        <v>66</v>
      </c>
      <c r="C53" s="8" t="s">
        <v>21</v>
      </c>
      <c r="D53" s="7">
        <v>8</v>
      </c>
      <c r="E53" s="7">
        <f>11000</f>
        <v>11000</v>
      </c>
      <c r="F53" s="4"/>
    </row>
    <row r="54" spans="1:7" s="1" customFormat="1" ht="15.75" x14ac:dyDescent="0.25">
      <c r="A54" s="7"/>
      <c r="B54" s="8"/>
      <c r="C54" s="8"/>
      <c r="D54" s="7"/>
      <c r="E54" s="9">
        <f>SUM(E28:E53)</f>
        <v>854029.26000000013</v>
      </c>
      <c r="F54" s="4"/>
    </row>
    <row r="55" spans="1:7" ht="15.75" x14ac:dyDescent="0.25">
      <c r="A55" s="7"/>
      <c r="B55" s="8" t="s">
        <v>9</v>
      </c>
      <c r="C55" s="7"/>
      <c r="D55" s="7"/>
      <c r="E55" s="9">
        <f>E26+E54</f>
        <v>2363110.66</v>
      </c>
      <c r="F55" s="4"/>
    </row>
    <row r="56" spans="1:7" ht="15.75" x14ac:dyDescent="0.25">
      <c r="A56" s="7"/>
      <c r="B56" s="8"/>
      <c r="C56" s="7"/>
      <c r="D56" s="7"/>
      <c r="E56" s="7"/>
      <c r="F56" s="4"/>
    </row>
    <row r="57" spans="1:7" ht="15.75" x14ac:dyDescent="0.25">
      <c r="A57" s="10"/>
      <c r="B57" s="10"/>
      <c r="C57" s="10"/>
      <c r="D57" s="10"/>
      <c r="E57" s="10"/>
      <c r="F57" s="4"/>
    </row>
    <row r="58" spans="1:7" ht="15.75" x14ac:dyDescent="0.25">
      <c r="A58" s="10"/>
      <c r="B58" s="10" t="s">
        <v>13</v>
      </c>
      <c r="C58" s="10" t="s">
        <v>14</v>
      </c>
      <c r="D58" s="10"/>
      <c r="E58" s="10"/>
      <c r="F58" s="1"/>
    </row>
    <row r="59" spans="1:7" x14ac:dyDescent="0.25">
      <c r="A59" s="2"/>
      <c r="B59" s="2"/>
      <c r="C59" s="2"/>
      <c r="D59" s="2"/>
      <c r="E59" s="2"/>
      <c r="F59" s="1"/>
    </row>
    <row r="60" spans="1:7" x14ac:dyDescent="0.25">
      <c r="A60" s="2"/>
      <c r="B60" s="2"/>
      <c r="C60" s="2"/>
      <c r="D60" s="2"/>
      <c r="E60" s="2"/>
      <c r="F60" s="1"/>
    </row>
    <row r="61" spans="1:7" x14ac:dyDescent="0.25">
      <c r="A61" s="2"/>
      <c r="B61" s="2" t="s">
        <v>15</v>
      </c>
      <c r="C61" s="2"/>
      <c r="D61" s="2"/>
      <c r="E61" s="2"/>
      <c r="F61" s="1"/>
    </row>
    <row r="62" spans="1:7" x14ac:dyDescent="0.25">
      <c r="A62" s="2"/>
      <c r="B62" s="2"/>
      <c r="C62" s="2"/>
      <c r="D62" s="2"/>
      <c r="E62" s="2"/>
      <c r="F62" s="14"/>
      <c r="G62" s="14"/>
    </row>
    <row r="63" spans="1:7" x14ac:dyDescent="0.25">
      <c r="A63" s="2"/>
      <c r="B63" s="2"/>
      <c r="C63" s="2"/>
      <c r="D63" s="2"/>
      <c r="E63" s="2"/>
      <c r="G63" s="14"/>
    </row>
    <row r="64" spans="1:7" x14ac:dyDescent="0.25">
      <c r="A64" s="2"/>
      <c r="B64" s="2"/>
      <c r="C64" s="2"/>
      <c r="D64" s="2"/>
      <c r="E64" s="2"/>
      <c r="F64" s="14"/>
    </row>
    <row r="65" spans="1:7" x14ac:dyDescent="0.25">
      <c r="A65" s="2"/>
      <c r="B65" s="2"/>
      <c r="C65" s="2"/>
      <c r="D65" s="2"/>
      <c r="E65" s="2"/>
      <c r="G65" s="14"/>
    </row>
    <row r="66" spans="1:7" x14ac:dyDescent="0.25">
      <c r="A66" s="2"/>
      <c r="B66" s="2"/>
      <c r="C66" s="2"/>
      <c r="D66" s="2"/>
      <c r="E66" s="2"/>
    </row>
    <row r="67" spans="1:7" x14ac:dyDescent="0.25">
      <c r="A67" s="2"/>
      <c r="B67" s="2"/>
      <c r="C67" s="2"/>
      <c r="D67" s="2"/>
      <c r="E67" s="2"/>
    </row>
    <row r="68" spans="1:7" x14ac:dyDescent="0.25">
      <c r="A68" s="2"/>
      <c r="B68" s="2"/>
      <c r="C68" s="2"/>
      <c r="D68" s="2"/>
      <c r="E68" s="2"/>
    </row>
    <row r="69" spans="1:7" x14ac:dyDescent="0.25">
      <c r="A69" s="2"/>
      <c r="B69" s="2"/>
      <c r="C69" s="2"/>
      <c r="D69" s="2"/>
      <c r="E69" s="2"/>
    </row>
    <row r="70" spans="1:7" x14ac:dyDescent="0.25">
      <c r="A70" s="2"/>
      <c r="B70" s="2"/>
      <c r="C70" s="2"/>
      <c r="D70" s="2"/>
      <c r="E70" s="2"/>
    </row>
    <row r="71" spans="1:7" x14ac:dyDescent="0.25">
      <c r="A71" s="2"/>
      <c r="B71" s="2"/>
      <c r="C71" s="2"/>
      <c r="D71" s="2"/>
      <c r="E71" s="2"/>
    </row>
    <row r="72" spans="1:7" x14ac:dyDescent="0.25">
      <c r="A72" s="2"/>
      <c r="B72" s="2"/>
      <c r="C72" s="2"/>
      <c r="D72" s="2"/>
      <c r="E72" s="2"/>
    </row>
    <row r="73" spans="1:7" x14ac:dyDescent="0.25">
      <c r="A73" s="2"/>
      <c r="B73" s="2"/>
      <c r="C73" s="2"/>
      <c r="D73" s="2"/>
      <c r="E73" s="2"/>
    </row>
    <row r="74" spans="1:7" x14ac:dyDescent="0.25">
      <c r="A74" s="2"/>
      <c r="B74" s="2"/>
      <c r="C74" s="2"/>
      <c r="D74" s="2"/>
      <c r="E74" s="2"/>
    </row>
    <row r="75" spans="1:7" x14ac:dyDescent="0.25">
      <c r="A75" s="2"/>
      <c r="B75" s="2"/>
      <c r="C75" s="2"/>
      <c r="D75" s="2"/>
      <c r="E75" s="2"/>
    </row>
    <row r="76" spans="1:7" x14ac:dyDescent="0.25">
      <c r="A76" s="2"/>
      <c r="B76" s="2"/>
      <c r="C76" s="2"/>
      <c r="D76" s="2"/>
      <c r="E76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2018-02-15T13:40:28Z</cp:lastPrinted>
  <dcterms:created xsi:type="dcterms:W3CDTF">2016-09-29T06:37:31Z</dcterms:created>
  <dcterms:modified xsi:type="dcterms:W3CDTF">2018-02-15T14:02:22Z</dcterms:modified>
</cp:coreProperties>
</file>